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lado/Dropbox/Micronichos/Excel Formulas/Archivos para Descargar/Plantillas/"/>
    </mc:Choice>
  </mc:AlternateContent>
  <xr:revisionPtr revIDLastSave="0" documentId="13_ncr:1_{ED527613-4234-F34D-9EF7-AC86CAB86786}" xr6:coauthVersionLast="47" xr6:coauthVersionMax="47" xr10:uidLastSave="{00000000-0000-0000-0000-000000000000}"/>
  <bookViews>
    <workbookView xWindow="180" yWindow="500" windowWidth="25100" windowHeight="14040" xr2:uid="{BA14F668-CFEC-624C-AC56-6624AB22E10C}"/>
  </bookViews>
  <sheets>
    <sheet name="Base" sheetId="4" r:id="rId1"/>
    <sheet name="Info" sheetId="6" r:id="rId2"/>
    <sheet name="Remuneración" sheetId="5" r:id="rId3"/>
    <sheet name="Alcance" sheetId="7" r:id="rId4"/>
  </sheets>
  <definedNames>
    <definedName name="NomVend">Vendedores[Vendedor/a]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5" l="1"/>
  <c r="H3" i="7"/>
  <c r="D68" i="7"/>
  <c r="C68" i="7"/>
  <c r="D67" i="7"/>
  <c r="C67" i="7"/>
  <c r="D66" i="7"/>
  <c r="C66" i="7"/>
  <c r="D65" i="7"/>
  <c r="C65" i="7"/>
  <c r="D64" i="7"/>
  <c r="C64" i="7"/>
  <c r="D63" i="7"/>
  <c r="C63" i="7"/>
  <c r="D57" i="7"/>
  <c r="C57" i="7"/>
  <c r="D56" i="7"/>
  <c r="C56" i="7"/>
  <c r="D55" i="7"/>
  <c r="C55" i="7"/>
  <c r="D54" i="7"/>
  <c r="C54" i="7"/>
  <c r="D53" i="7"/>
  <c r="C53" i="7"/>
  <c r="D52" i="7"/>
  <c r="C52" i="7"/>
  <c r="D46" i="7"/>
  <c r="C46" i="7"/>
  <c r="D45" i="7"/>
  <c r="C45" i="7"/>
  <c r="D44" i="7"/>
  <c r="C44" i="7"/>
  <c r="D43" i="7"/>
  <c r="C43" i="7"/>
  <c r="D42" i="7"/>
  <c r="C42" i="7"/>
  <c r="D41" i="7"/>
  <c r="C41" i="7"/>
  <c r="D35" i="7"/>
  <c r="C35" i="7"/>
  <c r="D34" i="7"/>
  <c r="C34" i="7"/>
  <c r="D33" i="7"/>
  <c r="C33" i="7"/>
  <c r="D32" i="7"/>
  <c r="C32" i="7"/>
  <c r="D31" i="7"/>
  <c r="C31" i="7"/>
  <c r="D30" i="7"/>
  <c r="C30" i="7"/>
  <c r="D22" i="7"/>
  <c r="C19" i="7"/>
  <c r="D24" i="7"/>
  <c r="C24" i="7"/>
  <c r="D23" i="7"/>
  <c r="C23" i="7"/>
  <c r="C22" i="7"/>
  <c r="D21" i="7"/>
  <c r="C21" i="7"/>
  <c r="D20" i="7"/>
  <c r="C20" i="7"/>
  <c r="D19" i="7"/>
  <c r="E57" i="7"/>
  <c r="D3" i="7"/>
  <c r="F55" i="7" s="1"/>
  <c r="C3" i="5"/>
  <c r="B1" i="7"/>
  <c r="H30" i="6"/>
  <c r="D13" i="7" s="1"/>
  <c r="G30" i="6"/>
  <c r="F30" i="6"/>
  <c r="E30" i="6"/>
  <c r="D10" i="7" s="1"/>
  <c r="D30" i="6"/>
  <c r="D9" i="7" s="1"/>
  <c r="C30" i="6"/>
  <c r="F21" i="6"/>
  <c r="C11" i="7" s="1"/>
  <c r="H21" i="6"/>
  <c r="C13" i="7" s="1"/>
  <c r="C21" i="6"/>
  <c r="C8" i="7" s="1"/>
  <c r="B12" i="5"/>
  <c r="H12" i="5"/>
  <c r="H7" i="5" s="1"/>
  <c r="K7" i="5" s="1"/>
  <c r="D7" i="5" l="1"/>
  <c r="F24" i="7"/>
  <c r="F32" i="7"/>
  <c r="F20" i="7"/>
  <c r="F22" i="7"/>
  <c r="D11" i="7"/>
  <c r="F11" i="7" s="1"/>
  <c r="F41" i="7"/>
  <c r="E43" i="7"/>
  <c r="F64" i="7"/>
  <c r="F68" i="7"/>
  <c r="D12" i="7"/>
  <c r="E19" i="7"/>
  <c r="E21" i="7"/>
  <c r="F45" i="7"/>
  <c r="F52" i="7"/>
  <c r="F56" i="7"/>
  <c r="F65" i="7"/>
  <c r="E34" i="7"/>
  <c r="F43" i="7"/>
  <c r="D8" i="7"/>
  <c r="E8" i="7" s="1"/>
  <c r="E30" i="7"/>
  <c r="F34" i="7"/>
  <c r="E53" i="7"/>
  <c r="F33" i="7"/>
  <c r="F42" i="7"/>
  <c r="F46" i="7"/>
  <c r="F53" i="7"/>
  <c r="F63" i="7"/>
  <c r="E64" i="7"/>
  <c r="F66" i="7"/>
  <c r="E13" i="7"/>
  <c r="E32" i="7"/>
  <c r="E41" i="7"/>
  <c r="E45" i="7"/>
  <c r="E66" i="7"/>
  <c r="F31" i="7"/>
  <c r="F35" i="7"/>
  <c r="F44" i="7"/>
  <c r="F54" i="7"/>
  <c r="E55" i="7"/>
  <c r="F57" i="7"/>
  <c r="F67" i="7"/>
  <c r="E68" i="7"/>
  <c r="E52" i="7"/>
  <c r="E54" i="7"/>
  <c r="E56" i="7"/>
  <c r="E63" i="7"/>
  <c r="E65" i="7"/>
  <c r="E67" i="7"/>
  <c r="E31" i="7"/>
  <c r="G31" i="7" s="1"/>
  <c r="E33" i="7"/>
  <c r="E35" i="7"/>
  <c r="E42" i="7"/>
  <c r="G42" i="7" s="1"/>
  <c r="E44" i="7"/>
  <c r="E46" i="7"/>
  <c r="F21" i="7"/>
  <c r="F23" i="7"/>
  <c r="E20" i="7"/>
  <c r="G20" i="7" s="1"/>
  <c r="F13" i="7"/>
  <c r="F19" i="7"/>
  <c r="E22" i="7"/>
  <c r="E24" i="7"/>
  <c r="E23" i="7"/>
  <c r="E11" i="7"/>
  <c r="E21" i="6"/>
  <c r="C10" i="7" s="1"/>
  <c r="F10" i="7" s="1"/>
  <c r="G21" i="6"/>
  <c r="C12" i="7" s="1"/>
  <c r="F12" i="7" s="1"/>
  <c r="D21" i="6"/>
  <c r="C9" i="7" s="1"/>
  <c r="E9" i="7" s="1"/>
  <c r="G9" i="7" s="1"/>
  <c r="H6" i="5"/>
  <c r="I7" i="5"/>
  <c r="E7" i="5"/>
  <c r="J7" i="5"/>
  <c r="H20" i="7" s="1"/>
  <c r="F7" i="5"/>
  <c r="G7" i="5"/>
  <c r="H10" i="5"/>
  <c r="H9" i="5"/>
  <c r="H8" i="5"/>
  <c r="H11" i="5"/>
  <c r="K9" i="5" l="1"/>
  <c r="D9" i="5"/>
  <c r="D12" i="5" s="1"/>
  <c r="G64" i="7"/>
  <c r="K10" i="5"/>
  <c r="D10" i="5"/>
  <c r="K11" i="5"/>
  <c r="D11" i="5"/>
  <c r="K8" i="5"/>
  <c r="D8" i="5"/>
  <c r="E6" i="5"/>
  <c r="G19" i="7" s="1"/>
  <c r="D6" i="5"/>
  <c r="E10" i="7"/>
  <c r="F9" i="7"/>
  <c r="E12" i="7"/>
  <c r="G53" i="7"/>
  <c r="F8" i="7"/>
  <c r="H54" i="7"/>
  <c r="H53" i="7"/>
  <c r="H68" i="7"/>
  <c r="H23" i="7"/>
  <c r="H67" i="7"/>
  <c r="H66" i="7"/>
  <c r="H46" i="7"/>
  <c r="H11" i="7"/>
  <c r="H21" i="7"/>
  <c r="H42" i="7"/>
  <c r="H65" i="7"/>
  <c r="H45" i="7"/>
  <c r="H64" i="7"/>
  <c r="H9" i="7"/>
  <c r="H31" i="7"/>
  <c r="H33" i="7"/>
  <c r="F30" i="7"/>
  <c r="G6" i="5"/>
  <c r="J6" i="5"/>
  <c r="F6" i="5"/>
  <c r="G8" i="7" s="1"/>
  <c r="I6" i="5"/>
  <c r="K6" i="5"/>
  <c r="K12" i="5" s="1"/>
  <c r="I8" i="5"/>
  <c r="H10" i="7" s="1"/>
  <c r="G8" i="5"/>
  <c r="J8" i="5"/>
  <c r="E8" i="5"/>
  <c r="F8" i="5"/>
  <c r="H43" i="7" s="1"/>
  <c r="I11" i="5"/>
  <c r="H13" i="7" s="1"/>
  <c r="E11" i="5"/>
  <c r="J11" i="5"/>
  <c r="H57" i="7" s="1"/>
  <c r="F11" i="5"/>
  <c r="G11" i="5"/>
  <c r="H35" i="7" s="1"/>
  <c r="J9" i="5"/>
  <c r="H44" i="7" s="1"/>
  <c r="F9" i="5"/>
  <c r="G22" i="7" s="1"/>
  <c r="G9" i="5"/>
  <c r="I9" i="5"/>
  <c r="E9" i="5"/>
  <c r="E10" i="5"/>
  <c r="F10" i="5"/>
  <c r="G56" i="7" s="1"/>
  <c r="I10" i="5"/>
  <c r="H56" i="7" s="1"/>
  <c r="G10" i="5"/>
  <c r="H34" i="7" s="1"/>
  <c r="J10" i="5"/>
  <c r="H12" i="7" s="1"/>
  <c r="G57" i="7" l="1"/>
  <c r="H32" i="7"/>
  <c r="H55" i="7"/>
  <c r="H24" i="7"/>
  <c r="G21" i="7"/>
  <c r="H22" i="7"/>
  <c r="G43" i="7"/>
  <c r="G32" i="7"/>
  <c r="G65" i="7"/>
  <c r="H19" i="7"/>
  <c r="G54" i="7"/>
  <c r="G11" i="7"/>
  <c r="G34" i="7"/>
  <c r="G45" i="7"/>
  <c r="G44" i="7"/>
  <c r="G10" i="7"/>
  <c r="G68" i="7"/>
  <c r="G35" i="7"/>
  <c r="G23" i="7"/>
  <c r="G41" i="7"/>
  <c r="G67" i="7"/>
  <c r="H41" i="7"/>
  <c r="G13" i="7"/>
  <c r="G63" i="7"/>
  <c r="G55" i="7"/>
  <c r="G12" i="7"/>
  <c r="G66" i="7"/>
  <c r="G33" i="7"/>
  <c r="G24" i="7"/>
  <c r="H30" i="7"/>
  <c r="H63" i="7"/>
  <c r="G52" i="7"/>
  <c r="G30" i="7"/>
  <c r="H52" i="7"/>
  <c r="H8" i="7"/>
  <c r="G46" i="7"/>
  <c r="I12" i="5"/>
  <c r="J12" i="5"/>
  <c r="G12" i="5"/>
  <c r="F12" i="5"/>
</calcChain>
</file>

<file path=xl/sharedStrings.xml><?xml version="1.0" encoding="utf-8"?>
<sst xmlns="http://schemas.openxmlformats.org/spreadsheetml/2006/main" count="140" uniqueCount="36">
  <si>
    <t>El link es:</t>
  </si>
  <si>
    <t>Esta plantilla se descarga del blog de Excel Fórmulas, podés consultar el post para conocer los detalles y cómo se utiliza.</t>
  </si>
  <si>
    <t>https://excelformulas.com.ar/plantilla-seguimiento-de-objetivos-de-ventas-en-excel</t>
  </si>
  <si>
    <t>TOTAL</t>
  </si>
  <si>
    <t>Mes</t>
  </si>
  <si>
    <t>Año</t>
  </si>
  <si>
    <t>Valor 100% Remuneración Variable</t>
  </si>
  <si>
    <t>Alcance Objetivo</t>
  </si>
  <si>
    <t>Cervezas</t>
  </si>
  <si>
    <t>Gaseosas</t>
  </si>
  <si>
    <t>Vinos</t>
  </si>
  <si>
    <t>Aguas</t>
  </si>
  <si>
    <t>Isotónicas</t>
  </si>
  <si>
    <t>Otras Bebidas</t>
  </si>
  <si>
    <t>Detalle Remuneración Variable</t>
  </si>
  <si>
    <t>Código</t>
  </si>
  <si>
    <t>Vendedor/a</t>
  </si>
  <si>
    <t>José</t>
  </si>
  <si>
    <t>Florencia</t>
  </si>
  <si>
    <t>Camila</t>
  </si>
  <si>
    <t>Estela</t>
  </si>
  <si>
    <t>Cecilia</t>
  </si>
  <si>
    <t>Total</t>
  </si>
  <si>
    <t>Objetivos en Unidades</t>
  </si>
  <si>
    <t>Total Días de venta del Mes</t>
  </si>
  <si>
    <t>Días de Ventas</t>
  </si>
  <si>
    <t>Ventas en Unidades</t>
  </si>
  <si>
    <t>Categoría</t>
  </si>
  <si>
    <t>Objetivo</t>
  </si>
  <si>
    <t>Venta</t>
  </si>
  <si>
    <t>% Alcance</t>
  </si>
  <si>
    <t>% Proyectado</t>
  </si>
  <si>
    <t>$ Remuneración Alcance</t>
  </si>
  <si>
    <t>$ Remuneración Proyectada</t>
  </si>
  <si>
    <t>Peso de cada categorìa de producto</t>
  </si>
  <si>
    <t>Escala (% de los $ que recibe en cada escala)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</si>
</sst>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\ * #,##0.00_);_(&quot;$&quot;\ * \(#,##0.00\);_(&quot;$&quot;\ * &quot;-&quot;??_);_(@_)"/>
    <numFmt numFmtId="164" formatCode="[$$-2C0A]\ #,##0"/>
    <numFmt numFmtId="165" formatCode="_(&quot;$&quot;\ * #,##0_);_(&quot;$&quot;\ * \(#,##0\);_(&quot;$&quot;\ * &quot;-&quot;??_);_(@_)"/>
    <numFmt numFmtId="166" formatCode="0.0%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2" applyNumberFormat="1" applyFont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Continuous" vertical="center"/>
    </xf>
    <xf numFmtId="10" fontId="0" fillId="2" borderId="1" xfId="0" applyNumberForma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Continuous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7" fillId="8" borderId="0" xfId="0" applyFont="1" applyFill="1" applyAlignment="1">
      <alignment horizontal="centerContinuous" vertical="center" wrapText="1"/>
    </xf>
    <xf numFmtId="0" fontId="9" fillId="8" borderId="0" xfId="0" applyFont="1" applyFill="1" applyAlignment="1">
      <alignment horizontal="centerContinuous" vertical="center"/>
    </xf>
    <xf numFmtId="165" fontId="0" fillId="0" borderId="1" xfId="2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9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164" fontId="13" fillId="4" borderId="1" xfId="0" applyNumberFormat="1" applyFont="1" applyFill="1" applyBorder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5">
    <dxf>
      <fill>
        <patternFill>
          <bgColor rgb="FFFFC7CE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11</xdr:row>
      <xdr:rowOff>355600</xdr:rowOff>
    </xdr:from>
    <xdr:to>
      <xdr:col>1</xdr:col>
      <xdr:colOff>279400</xdr:colOff>
      <xdr:row>13</xdr:row>
      <xdr:rowOff>12700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2CF98661-F2A7-C613-131D-4880843BBA08}"/>
            </a:ext>
          </a:extLst>
        </xdr:cNvPr>
        <xdr:cNvCxnSpPr/>
      </xdr:nvCxnSpPr>
      <xdr:spPr>
        <a:xfrm flipV="1">
          <a:off x="711200" y="4102100"/>
          <a:ext cx="12700" cy="2413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18B4B3-ED6E-B846-BB9B-63EED71D2A06}" name="Vendedores" displayName="Vendedores" ref="B8:C13" totalsRowShown="0" headerRowDxfId="4" dataDxfId="3">
  <autoFilter ref="B8:C13" xr:uid="{FF18B4B3-ED6E-B846-BB9B-63EED71D2A06}"/>
  <tableColumns count="2">
    <tableColumn id="1" xr3:uid="{C6B77E0A-4843-0647-B140-2F80009BE4A7}" name="Código" dataDxfId="2"/>
    <tableColumn id="2" xr3:uid="{0133181C-D153-6E4D-A16A-EB06498B17BB}" name="Vendedor/a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formulas.com.ar/plantilla-seguimiento-de-objetivos-de-ventas-en-exce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55F71-D887-714B-99F1-85CC9261031E}">
  <dimension ref="B2:B4"/>
  <sheetViews>
    <sheetView showGridLines="0" tabSelected="1" workbookViewId="0">
      <selection activeCell="B8" sqref="B8"/>
    </sheetView>
  </sheetViews>
  <sheetFormatPr baseColWidth="10" defaultColWidth="10.83203125" defaultRowHeight="16" x14ac:dyDescent="0.2"/>
  <cols>
    <col min="1" max="1" width="10.83203125" style="1"/>
    <col min="2" max="2" width="65.5" style="1" customWidth="1"/>
    <col min="3" max="16384" width="10.83203125" style="1"/>
  </cols>
  <sheetData>
    <row r="2" spans="2:2" ht="66" x14ac:dyDescent="0.2">
      <c r="B2" s="2" t="s">
        <v>1</v>
      </c>
    </row>
    <row r="3" spans="2:2" ht="21" x14ac:dyDescent="0.2">
      <c r="B3" s="3" t="s">
        <v>0</v>
      </c>
    </row>
    <row r="4" spans="2:2" ht="25" customHeight="1" x14ac:dyDescent="0.2">
      <c r="B4" s="4" t="s">
        <v>2</v>
      </c>
    </row>
  </sheetData>
  <hyperlinks>
    <hyperlink ref="B4" r:id="rId1" xr:uid="{4C483929-7633-AD46-A61C-80B0B832990B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28741-10E9-A347-A91B-282790A82D62}">
  <dimension ref="B3:H30"/>
  <sheetViews>
    <sheetView showGridLines="0" workbookViewId="0">
      <selection activeCell="E7" sqref="E7"/>
    </sheetView>
  </sheetViews>
  <sheetFormatPr baseColWidth="10" defaultRowHeight="16" x14ac:dyDescent="0.2"/>
  <cols>
    <col min="1" max="1" width="10.83203125" style="5"/>
    <col min="2" max="9" width="15.83203125" style="5" customWidth="1"/>
    <col min="10" max="16384" width="10.83203125" style="5"/>
  </cols>
  <sheetData>
    <row r="3" spans="2:8" x14ac:dyDescent="0.2">
      <c r="B3" s="7" t="s">
        <v>4</v>
      </c>
      <c r="C3" s="7" t="s">
        <v>4</v>
      </c>
      <c r="E3" s="18" t="s">
        <v>24</v>
      </c>
      <c r="F3" s="18"/>
      <c r="G3" s="7">
        <v>22</v>
      </c>
    </row>
    <row r="4" spans="2:8" x14ac:dyDescent="0.2">
      <c r="B4" s="7" t="s">
        <v>5</v>
      </c>
      <c r="C4" s="7" t="s">
        <v>5</v>
      </c>
      <c r="E4" s="18" t="s">
        <v>25</v>
      </c>
      <c r="F4" s="18"/>
      <c r="G4" s="7">
        <v>18</v>
      </c>
    </row>
    <row r="6" spans="2:8" ht="51" x14ac:dyDescent="0.2">
      <c r="B6" s="8" t="s">
        <v>6</v>
      </c>
      <c r="C6" s="9">
        <v>120000</v>
      </c>
    </row>
    <row r="8" spans="2:8" x14ac:dyDescent="0.2">
      <c r="B8" s="5" t="s">
        <v>15</v>
      </c>
      <c r="C8" s="5" t="s">
        <v>16</v>
      </c>
    </row>
    <row r="9" spans="2:8" x14ac:dyDescent="0.2">
      <c r="B9" s="5">
        <v>1</v>
      </c>
      <c r="C9" s="5" t="s">
        <v>17</v>
      </c>
    </row>
    <row r="10" spans="2:8" x14ac:dyDescent="0.2">
      <c r="B10" s="5">
        <v>2</v>
      </c>
      <c r="C10" s="5" t="s">
        <v>18</v>
      </c>
    </row>
    <row r="11" spans="2:8" x14ac:dyDescent="0.2">
      <c r="B11" s="5">
        <v>3</v>
      </c>
      <c r="C11" s="5" t="s">
        <v>19</v>
      </c>
    </row>
    <row r="12" spans="2:8" x14ac:dyDescent="0.2">
      <c r="B12" s="5">
        <v>4</v>
      </c>
      <c r="C12" s="5" t="s">
        <v>20</v>
      </c>
    </row>
    <row r="13" spans="2:8" x14ac:dyDescent="0.2">
      <c r="B13" s="5">
        <v>5</v>
      </c>
      <c r="C13" s="5" t="s">
        <v>21</v>
      </c>
    </row>
    <row r="15" spans="2:8" ht="34" x14ac:dyDescent="0.2">
      <c r="B15" s="17" t="s">
        <v>23</v>
      </c>
      <c r="C15" s="17" t="s">
        <v>8</v>
      </c>
      <c r="D15" s="17" t="s">
        <v>9</v>
      </c>
      <c r="E15" s="17" t="s">
        <v>10</v>
      </c>
      <c r="F15" s="17" t="s">
        <v>11</v>
      </c>
      <c r="G15" s="17" t="s">
        <v>12</v>
      </c>
      <c r="H15" s="17" t="s">
        <v>13</v>
      </c>
    </row>
    <row r="16" spans="2:8" x14ac:dyDescent="0.2">
      <c r="B16" s="16" t="s">
        <v>17</v>
      </c>
      <c r="C16" s="6">
        <v>10952</v>
      </c>
      <c r="D16" s="6">
        <v>14312</v>
      </c>
      <c r="E16" s="6">
        <v>8048</v>
      </c>
      <c r="F16" s="6">
        <v>5077</v>
      </c>
      <c r="G16" s="6">
        <v>1417</v>
      </c>
      <c r="H16" s="6">
        <v>874</v>
      </c>
    </row>
    <row r="17" spans="2:8" x14ac:dyDescent="0.2">
      <c r="B17" s="16" t="s">
        <v>18</v>
      </c>
      <c r="C17" s="6">
        <v>9582</v>
      </c>
      <c r="D17" s="6">
        <v>11870</v>
      </c>
      <c r="E17" s="6">
        <v>10034</v>
      </c>
      <c r="F17" s="6">
        <v>7822</v>
      </c>
      <c r="G17" s="6">
        <v>932</v>
      </c>
      <c r="H17" s="6">
        <v>729</v>
      </c>
    </row>
    <row r="18" spans="2:8" x14ac:dyDescent="0.2">
      <c r="B18" s="16" t="s">
        <v>19</v>
      </c>
      <c r="C18" s="6">
        <v>12523</v>
      </c>
      <c r="D18" s="6">
        <v>9897</v>
      </c>
      <c r="E18" s="6">
        <v>10046</v>
      </c>
      <c r="F18" s="6">
        <v>6427</v>
      </c>
      <c r="G18" s="6">
        <v>993</v>
      </c>
      <c r="H18" s="6">
        <v>743</v>
      </c>
    </row>
    <row r="19" spans="2:8" x14ac:dyDescent="0.2">
      <c r="B19" s="16" t="s">
        <v>20</v>
      </c>
      <c r="C19" s="6">
        <v>11652</v>
      </c>
      <c r="D19" s="6">
        <v>14900</v>
      </c>
      <c r="E19" s="6">
        <v>8357</v>
      </c>
      <c r="F19" s="6">
        <v>5026</v>
      </c>
      <c r="G19" s="6">
        <v>1419</v>
      </c>
      <c r="H19" s="6">
        <v>596</v>
      </c>
    </row>
    <row r="20" spans="2:8" x14ac:dyDescent="0.2">
      <c r="B20" s="16" t="s">
        <v>21</v>
      </c>
      <c r="C20" s="6">
        <v>10742</v>
      </c>
      <c r="D20" s="6">
        <v>11223</v>
      </c>
      <c r="E20" s="6">
        <v>7459</v>
      </c>
      <c r="F20" s="6">
        <v>7498</v>
      </c>
      <c r="G20" s="6">
        <v>1026</v>
      </c>
      <c r="H20" s="6">
        <v>503</v>
      </c>
    </row>
    <row r="21" spans="2:8" x14ac:dyDescent="0.2">
      <c r="B21" s="16" t="s">
        <v>22</v>
      </c>
      <c r="C21" s="16">
        <f>SUM(C16:C20)</f>
        <v>55451</v>
      </c>
      <c r="D21" s="16">
        <f t="shared" ref="D21:H21" si="0">SUM(D16:D20)</f>
        <v>62202</v>
      </c>
      <c r="E21" s="16">
        <f t="shared" si="0"/>
        <v>43944</v>
      </c>
      <c r="F21" s="16">
        <f t="shared" si="0"/>
        <v>31850</v>
      </c>
      <c r="G21" s="16">
        <f t="shared" si="0"/>
        <v>5787</v>
      </c>
      <c r="H21" s="16">
        <f t="shared" si="0"/>
        <v>3445</v>
      </c>
    </row>
    <row r="24" spans="2:8" ht="34" x14ac:dyDescent="0.2">
      <c r="B24" s="19" t="s">
        <v>26</v>
      </c>
      <c r="C24" s="19" t="s">
        <v>8</v>
      </c>
      <c r="D24" s="19" t="s">
        <v>9</v>
      </c>
      <c r="E24" s="19" t="s">
        <v>10</v>
      </c>
      <c r="F24" s="19" t="s">
        <v>11</v>
      </c>
      <c r="G24" s="19" t="s">
        <v>12</v>
      </c>
      <c r="H24" s="19" t="s">
        <v>13</v>
      </c>
    </row>
    <row r="25" spans="2:8" x14ac:dyDescent="0.2">
      <c r="B25" s="20" t="s">
        <v>17</v>
      </c>
      <c r="C25" s="6">
        <v>9309</v>
      </c>
      <c r="D25" s="6">
        <v>10591</v>
      </c>
      <c r="E25" s="6">
        <v>7807</v>
      </c>
      <c r="F25" s="6">
        <v>4468</v>
      </c>
      <c r="G25" s="6">
        <v>1403</v>
      </c>
      <c r="H25" s="6">
        <v>787</v>
      </c>
    </row>
    <row r="26" spans="2:8" x14ac:dyDescent="0.2">
      <c r="B26" s="20" t="s">
        <v>18</v>
      </c>
      <c r="C26" s="6">
        <v>8432</v>
      </c>
      <c r="D26" s="6">
        <v>7484</v>
      </c>
      <c r="E26" s="6">
        <v>8930</v>
      </c>
      <c r="F26" s="6">
        <v>7196</v>
      </c>
      <c r="G26" s="6">
        <v>736</v>
      </c>
      <c r="H26" s="6">
        <v>590</v>
      </c>
    </row>
    <row r="27" spans="2:8" x14ac:dyDescent="0.2">
      <c r="B27" s="20" t="s">
        <v>19</v>
      </c>
      <c r="C27" s="6">
        <v>11271</v>
      </c>
      <c r="D27" s="6">
        <v>7324</v>
      </c>
      <c r="E27" s="6">
        <v>7535</v>
      </c>
      <c r="F27" s="6">
        <v>5977</v>
      </c>
      <c r="G27" s="6">
        <v>814</v>
      </c>
      <c r="H27" s="6">
        <v>632</v>
      </c>
    </row>
    <row r="28" spans="2:8" x14ac:dyDescent="0.2">
      <c r="B28" s="20" t="s">
        <v>20</v>
      </c>
      <c r="C28" s="6">
        <v>10720</v>
      </c>
      <c r="D28" s="6">
        <v>12367</v>
      </c>
      <c r="E28" s="6">
        <v>6853</v>
      </c>
      <c r="F28" s="6">
        <v>4724</v>
      </c>
      <c r="G28" s="6">
        <v>1277</v>
      </c>
      <c r="H28" s="6">
        <v>560</v>
      </c>
    </row>
    <row r="29" spans="2:8" x14ac:dyDescent="0.2">
      <c r="B29" s="20" t="s">
        <v>21</v>
      </c>
      <c r="C29" s="6">
        <v>10742</v>
      </c>
      <c r="D29" s="6">
        <v>9540</v>
      </c>
      <c r="E29" s="6">
        <v>7608</v>
      </c>
      <c r="F29" s="6">
        <v>7798</v>
      </c>
      <c r="G29" s="6">
        <v>1057</v>
      </c>
      <c r="H29" s="6">
        <v>428</v>
      </c>
    </row>
    <row r="30" spans="2:8" x14ac:dyDescent="0.2">
      <c r="B30" s="20" t="s">
        <v>22</v>
      </c>
      <c r="C30" s="20">
        <f>SUM(C25:C29)</f>
        <v>50474</v>
      </c>
      <c r="D30" s="20">
        <f t="shared" ref="D30" si="1">SUM(D25:D29)</f>
        <v>47306</v>
      </c>
      <c r="E30" s="20">
        <f t="shared" ref="E30" si="2">SUM(E25:E29)</f>
        <v>38733</v>
      </c>
      <c r="F30" s="20">
        <f t="shared" ref="F30" si="3">SUM(F25:F29)</f>
        <v>30163</v>
      </c>
      <c r="G30" s="20">
        <f t="shared" ref="G30" si="4">SUM(G25:G29)</f>
        <v>5287</v>
      </c>
      <c r="H30" s="20">
        <f t="shared" ref="H30" si="5">SUM(H25:H29)</f>
        <v>2997</v>
      </c>
    </row>
  </sheetData>
  <printOptions horizontalCentered="1" verticalCentered="1"/>
  <pageMargins left="0.25" right="0.25" top="0.25" bottom="0.25" header="0" footer="0"/>
  <pageSetup paperSize="9" orientation="landscape" horizontalDpi="0" verticalDpi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7DB4-FA83-D94D-974D-7FF1C59C703C}">
  <sheetPr>
    <pageSetUpPr fitToPage="1"/>
  </sheetPr>
  <dimension ref="B1:K14"/>
  <sheetViews>
    <sheetView showGridLines="0" zoomScaleNormal="100" workbookViewId="0"/>
  </sheetViews>
  <sheetFormatPr baseColWidth="10" defaultColWidth="26.6640625" defaultRowHeight="16" x14ac:dyDescent="0.2"/>
  <cols>
    <col min="1" max="1" width="5.83203125" style="5" customWidth="1"/>
    <col min="2" max="2" width="8.1640625" style="5" bestFit="1" customWidth="1"/>
    <col min="3" max="3" width="25.83203125" style="5" customWidth="1"/>
    <col min="4" max="4" width="4" style="5" bestFit="1" customWidth="1"/>
    <col min="5" max="11" width="15.83203125" style="5" customWidth="1"/>
    <col min="12" max="12" width="5.83203125" style="5" customWidth="1"/>
    <col min="13" max="16384" width="26.6640625" style="5"/>
  </cols>
  <sheetData>
    <row r="1" spans="2:11" ht="24" x14ac:dyDescent="0.2"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4"/>
    </row>
    <row r="3" spans="2:11" ht="25" customHeight="1" x14ac:dyDescent="0.2">
      <c r="B3" s="12"/>
      <c r="C3" s="11" t="str">
        <f>"Remuneracion Variable "&amp;Info!$C$3&amp;" "&amp;Info!$C$4</f>
        <v>Remuneracion Variable Mes Año</v>
      </c>
      <c r="D3" s="11"/>
      <c r="E3" s="11"/>
      <c r="F3" s="11"/>
      <c r="G3" s="11"/>
      <c r="H3" s="11"/>
      <c r="I3" s="11"/>
      <c r="J3" s="11"/>
      <c r="K3" s="11"/>
    </row>
    <row r="4" spans="2:11" ht="35" customHeight="1" x14ac:dyDescent="0.2">
      <c r="B4" s="12"/>
      <c r="C4" s="28" t="s">
        <v>7</v>
      </c>
      <c r="D4" s="29">
        <v>0</v>
      </c>
      <c r="E4" s="29">
        <v>0.8</v>
      </c>
      <c r="F4" s="29">
        <v>0.9</v>
      </c>
      <c r="G4" s="29">
        <v>0.95</v>
      </c>
      <c r="H4" s="29">
        <v>1</v>
      </c>
      <c r="I4" s="29">
        <v>1.05</v>
      </c>
      <c r="J4" s="29">
        <v>1.1000000000000001</v>
      </c>
      <c r="K4" s="29">
        <v>1.1499999999999999</v>
      </c>
    </row>
    <row r="5" spans="2:11" ht="35" customHeight="1" x14ac:dyDescent="0.2">
      <c r="B5" s="13"/>
      <c r="C5" s="30" t="s">
        <v>35</v>
      </c>
      <c r="D5" s="29">
        <v>0</v>
      </c>
      <c r="E5" s="29">
        <v>0.6</v>
      </c>
      <c r="F5" s="29">
        <v>0.75</v>
      </c>
      <c r="G5" s="29">
        <v>0.9</v>
      </c>
      <c r="H5" s="29">
        <v>1</v>
      </c>
      <c r="I5" s="29">
        <v>1.05</v>
      </c>
      <c r="J5" s="29">
        <v>1.1499999999999999</v>
      </c>
      <c r="K5" s="29">
        <v>1.2</v>
      </c>
    </row>
    <row r="6" spans="2:11" ht="35" customHeight="1" x14ac:dyDescent="0.2">
      <c r="B6" s="15">
        <v>0.2</v>
      </c>
      <c r="C6" s="28" t="s">
        <v>8</v>
      </c>
      <c r="D6" s="31">
        <f>ROUND($H6*D$5,0)</f>
        <v>0</v>
      </c>
      <c r="E6" s="31">
        <f>ROUND($H6*E$5,0)</f>
        <v>14400</v>
      </c>
      <c r="F6" s="31">
        <f>ROUND($H6*F$5,0)</f>
        <v>18000</v>
      </c>
      <c r="G6" s="31">
        <f>ROUND($H6*G$5,0)</f>
        <v>21600</v>
      </c>
      <c r="H6" s="31">
        <f t="shared" ref="H6:H11" si="0">ROUND($H$12*$B6,0)</f>
        <v>24000</v>
      </c>
      <c r="I6" s="31">
        <f t="shared" ref="I6:K11" si="1">ROUND($H6*I$5,0)</f>
        <v>25200</v>
      </c>
      <c r="J6" s="31">
        <f t="shared" si="1"/>
        <v>27600</v>
      </c>
      <c r="K6" s="31">
        <f t="shared" si="1"/>
        <v>28800</v>
      </c>
    </row>
    <row r="7" spans="2:11" ht="35" customHeight="1" x14ac:dyDescent="0.2">
      <c r="B7" s="15">
        <v>0.2</v>
      </c>
      <c r="C7" s="28" t="s">
        <v>9</v>
      </c>
      <c r="D7" s="31">
        <f>ROUND($H7*D$5,0)</f>
        <v>0</v>
      </c>
      <c r="E7" s="31">
        <f>ROUND($H7*E$5,0)</f>
        <v>14400</v>
      </c>
      <c r="F7" s="31">
        <f>ROUND($H7*F$5,0)</f>
        <v>18000</v>
      </c>
      <c r="G7" s="31">
        <f>ROUND($H7*G$5,0)</f>
        <v>21600</v>
      </c>
      <c r="H7" s="31">
        <f t="shared" si="0"/>
        <v>24000</v>
      </c>
      <c r="I7" s="31">
        <f t="shared" si="1"/>
        <v>25200</v>
      </c>
      <c r="J7" s="31">
        <f t="shared" si="1"/>
        <v>27600</v>
      </c>
      <c r="K7" s="31">
        <f t="shared" si="1"/>
        <v>28800</v>
      </c>
    </row>
    <row r="8" spans="2:11" ht="35" customHeight="1" x14ac:dyDescent="0.2">
      <c r="B8" s="15">
        <v>0.2</v>
      </c>
      <c r="C8" s="28" t="s">
        <v>10</v>
      </c>
      <c r="D8" s="31">
        <f>ROUND($H8*D$5,0)</f>
        <v>0</v>
      </c>
      <c r="E8" s="31">
        <f>ROUND($H8*E$5,0)</f>
        <v>14400</v>
      </c>
      <c r="F8" s="31">
        <f>ROUND($H8*F$5,0)</f>
        <v>18000</v>
      </c>
      <c r="G8" s="31">
        <f>ROUND($H8*G$5,0)</f>
        <v>21600</v>
      </c>
      <c r="H8" s="31">
        <f t="shared" si="0"/>
        <v>24000</v>
      </c>
      <c r="I8" s="31">
        <f t="shared" si="1"/>
        <v>25200</v>
      </c>
      <c r="J8" s="31">
        <f t="shared" si="1"/>
        <v>27600</v>
      </c>
      <c r="K8" s="31">
        <f t="shared" si="1"/>
        <v>28800</v>
      </c>
    </row>
    <row r="9" spans="2:11" ht="35" customHeight="1" x14ac:dyDescent="0.2">
      <c r="B9" s="15">
        <v>0.15</v>
      </c>
      <c r="C9" s="28" t="s">
        <v>11</v>
      </c>
      <c r="D9" s="31">
        <f>ROUND($H9*D$5,0)</f>
        <v>0</v>
      </c>
      <c r="E9" s="31">
        <f>ROUND($H9*E$5,0)</f>
        <v>10800</v>
      </c>
      <c r="F9" s="31">
        <f>ROUND($H9*F$5,0)</f>
        <v>13500</v>
      </c>
      <c r="G9" s="31">
        <f>ROUND($H9*G$5,0)</f>
        <v>16200</v>
      </c>
      <c r="H9" s="31">
        <f t="shared" si="0"/>
        <v>18000</v>
      </c>
      <c r="I9" s="31">
        <f t="shared" si="1"/>
        <v>18900</v>
      </c>
      <c r="J9" s="31">
        <f t="shared" si="1"/>
        <v>20700</v>
      </c>
      <c r="K9" s="31">
        <f t="shared" si="1"/>
        <v>21600</v>
      </c>
    </row>
    <row r="10" spans="2:11" ht="35" customHeight="1" x14ac:dyDescent="0.2">
      <c r="B10" s="15">
        <v>0.15</v>
      </c>
      <c r="C10" s="28" t="s">
        <v>12</v>
      </c>
      <c r="D10" s="31">
        <f>ROUND($H10*D$5,0)</f>
        <v>0</v>
      </c>
      <c r="E10" s="31">
        <f>ROUND($H10*E$5,0)</f>
        <v>10800</v>
      </c>
      <c r="F10" s="31">
        <f>ROUND($H10*F$5,0)</f>
        <v>13500</v>
      </c>
      <c r="G10" s="31">
        <f>ROUND($H10*G$5,0)</f>
        <v>16200</v>
      </c>
      <c r="H10" s="31">
        <f t="shared" si="0"/>
        <v>18000</v>
      </c>
      <c r="I10" s="31">
        <f t="shared" si="1"/>
        <v>18900</v>
      </c>
      <c r="J10" s="31">
        <f t="shared" si="1"/>
        <v>20700</v>
      </c>
      <c r="K10" s="31">
        <f t="shared" si="1"/>
        <v>21600</v>
      </c>
    </row>
    <row r="11" spans="2:11" ht="35" customHeight="1" x14ac:dyDescent="0.2">
      <c r="B11" s="15">
        <v>0.1</v>
      </c>
      <c r="C11" s="28" t="s">
        <v>13</v>
      </c>
      <c r="D11" s="31">
        <f>ROUND($H11*D$5,0)</f>
        <v>0</v>
      </c>
      <c r="E11" s="31">
        <f>ROUND($H11*E$5,0)</f>
        <v>7200</v>
      </c>
      <c r="F11" s="31">
        <f>ROUND($H11*F$5,0)</f>
        <v>9000</v>
      </c>
      <c r="G11" s="31">
        <f>ROUND($H11*G$5,0)</f>
        <v>10800</v>
      </c>
      <c r="H11" s="31">
        <f t="shared" si="0"/>
        <v>12000</v>
      </c>
      <c r="I11" s="31">
        <f t="shared" si="1"/>
        <v>12600</v>
      </c>
      <c r="J11" s="31">
        <f t="shared" si="1"/>
        <v>13800</v>
      </c>
      <c r="K11" s="31">
        <f t="shared" si="1"/>
        <v>14400</v>
      </c>
    </row>
    <row r="12" spans="2:11" ht="35" customHeight="1" x14ac:dyDescent="0.2">
      <c r="B12" s="10">
        <f>SUM(B6:B11)</f>
        <v>1.0000000000000002</v>
      </c>
      <c r="C12" s="28" t="s">
        <v>3</v>
      </c>
      <c r="D12" s="32">
        <f>SUM(D6:D11)</f>
        <v>0</v>
      </c>
      <c r="E12" s="32">
        <f>SUM(E6:E11)</f>
        <v>72000</v>
      </c>
      <c r="F12" s="32">
        <f>SUM(F6:F11)</f>
        <v>90000</v>
      </c>
      <c r="G12" s="32">
        <f>SUM(G6:G11)</f>
        <v>108000</v>
      </c>
      <c r="H12" s="32">
        <f>Info!C6</f>
        <v>120000</v>
      </c>
      <c r="I12" s="32">
        <f>SUM(I6:I11)</f>
        <v>126000</v>
      </c>
      <c r="J12" s="32">
        <f>SUM(J6:J11)</f>
        <v>138000</v>
      </c>
      <c r="K12" s="32">
        <f>SUM(K6:K11)</f>
        <v>144000</v>
      </c>
    </row>
    <row r="14" spans="2:11" x14ac:dyDescent="0.2">
      <c r="B14" s="27" t="s">
        <v>34</v>
      </c>
    </row>
  </sheetData>
  <conditionalFormatting sqref="B12">
    <cfRule type="cellIs" dxfId="0" priority="1" operator="notEqual">
      <formula>1</formula>
    </cfRule>
  </conditionalFormatting>
  <printOptions horizontalCentered="1" verticalCentered="1"/>
  <pageMargins left="0.25" right="0.25" top="0.25" bottom="0.25" header="0" footer="0"/>
  <pageSetup paperSize="9" scale="84" orientation="landscape" horizontalDpi="0" verticalDpi="0"/>
  <ignoredErrors>
    <ignoredError sqref="H6:H11 H12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99129-5C89-3F46-8951-0392DD3FAD34}">
  <sheetPr>
    <pageSetUpPr fitToPage="1"/>
  </sheetPr>
  <dimension ref="B1:H68"/>
  <sheetViews>
    <sheetView showGridLines="0" zoomScaleNormal="100" workbookViewId="0">
      <selection activeCell="F21" sqref="F21"/>
    </sheetView>
  </sheetViews>
  <sheetFormatPr baseColWidth="10" defaultRowHeight="16" x14ac:dyDescent="0.2"/>
  <cols>
    <col min="1" max="1" width="5.83203125" style="5" customWidth="1"/>
    <col min="2" max="2" width="21" style="5" customWidth="1"/>
    <col min="3" max="8" width="15.83203125" style="5" customWidth="1"/>
    <col min="9" max="9" width="5.83203125" style="5" customWidth="1"/>
    <col min="10" max="16384" width="10.83203125" style="5"/>
  </cols>
  <sheetData>
    <row r="1" spans="2:8" ht="17" x14ac:dyDescent="0.2">
      <c r="B1" s="24" t="str">
        <f>"Remuneracion Variable "&amp;Info!$C$3&amp;" "&amp;Info!$C$4</f>
        <v>Remuneracion Variable Mes Año</v>
      </c>
      <c r="C1" s="25"/>
      <c r="D1" s="25"/>
      <c r="E1" s="25"/>
      <c r="F1" s="25"/>
      <c r="G1" s="25"/>
      <c r="H1" s="25"/>
    </row>
    <row r="3" spans="2:8" x14ac:dyDescent="0.2">
      <c r="B3" s="18" t="s">
        <v>24</v>
      </c>
      <c r="C3" s="18"/>
      <c r="D3" s="7">
        <f>Info!$G$3</f>
        <v>22</v>
      </c>
      <c r="F3" s="18" t="s">
        <v>25</v>
      </c>
      <c r="G3" s="18"/>
      <c r="H3" s="7">
        <f>Info!$G$4</f>
        <v>18</v>
      </c>
    </row>
    <row r="5" spans="2:8" x14ac:dyDescent="0.2">
      <c r="B5" s="22" t="s">
        <v>22</v>
      </c>
    </row>
    <row r="7" spans="2:8" ht="35" customHeight="1" x14ac:dyDescent="0.2">
      <c r="B7" s="21" t="s">
        <v>27</v>
      </c>
      <c r="C7" s="21" t="s">
        <v>28</v>
      </c>
      <c r="D7" s="21" t="s">
        <v>29</v>
      </c>
      <c r="E7" s="21" t="s">
        <v>30</v>
      </c>
      <c r="F7" s="21" t="s">
        <v>31</v>
      </c>
      <c r="G7" s="21" t="s">
        <v>32</v>
      </c>
      <c r="H7" s="21" t="s">
        <v>33</v>
      </c>
    </row>
    <row r="8" spans="2:8" ht="25" customHeight="1" x14ac:dyDescent="0.2">
      <c r="B8" s="22" t="s">
        <v>8</v>
      </c>
      <c r="C8" s="6">
        <f>VLOOKUP($B$5,Info!$B$15:$H$21,2,FALSE)</f>
        <v>55451</v>
      </c>
      <c r="D8" s="6">
        <f>VLOOKUP($B$5,Info!$B$24:$H$30,2,FALSE)</f>
        <v>50474</v>
      </c>
      <c r="E8" s="23">
        <f>IFERROR(D8/C8,"")</f>
        <v>0.91024508124289916</v>
      </c>
      <c r="F8" s="23">
        <f>IFERROR((D8/$H$3*$D$3)/C8,"")</f>
        <v>1.1125217659635436</v>
      </c>
      <c r="G8" s="26">
        <f>HLOOKUP(E8,Remuneración!$C$4:$K$12,3,TRUE)</f>
        <v>18000</v>
      </c>
      <c r="H8" s="26">
        <f>HLOOKUP(F8,Remuneración!$C$4:$K$12,3,TRUE)</f>
        <v>27600</v>
      </c>
    </row>
    <row r="9" spans="2:8" ht="25" customHeight="1" x14ac:dyDescent="0.2">
      <c r="B9" s="22" t="s">
        <v>9</v>
      </c>
      <c r="C9" s="6">
        <f>VLOOKUP($B$5,Info!$B$15:$H$21,3,FALSE)</f>
        <v>62202</v>
      </c>
      <c r="D9" s="6">
        <f>VLOOKUP($B$5,Info!$B$24:$H$30,3,FALSE)</f>
        <v>47306</v>
      </c>
      <c r="E9" s="23">
        <f>IFERROR(D9/C9,"")</f>
        <v>0.76052216970515418</v>
      </c>
      <c r="F9" s="23">
        <f t="shared" ref="F9:F13" si="0">IFERROR((D9/$H$3*$D$3)/C9,"")</f>
        <v>0.9295270963062997</v>
      </c>
      <c r="G9" s="26">
        <f>HLOOKUP(E9,Remuneración!$C$4:$K$12,4,TRUE)</f>
        <v>0</v>
      </c>
      <c r="H9" s="26">
        <f>HLOOKUP(F9,Remuneración!$C$4:$K$12,4,TRUE)</f>
        <v>18000</v>
      </c>
    </row>
    <row r="10" spans="2:8" ht="25" customHeight="1" x14ac:dyDescent="0.2">
      <c r="B10" s="22" t="s">
        <v>10</v>
      </c>
      <c r="C10" s="6">
        <f>VLOOKUP($B$5,Info!$B$15:$H$21,4,FALSE)</f>
        <v>43944</v>
      </c>
      <c r="D10" s="6">
        <f>VLOOKUP($B$5,Info!$B$24:$H$30,4,FALSE)</f>
        <v>38733</v>
      </c>
      <c r="E10" s="23">
        <f t="shared" ref="E9:E13" si="1">IFERROR(D10/C10,"")</f>
        <v>0.88141725832878204</v>
      </c>
      <c r="F10" s="23">
        <f>IFERROR((D10/$H$3*$D$3)/C10,"")</f>
        <v>1.0772877601796227</v>
      </c>
      <c r="G10" s="26">
        <f>HLOOKUP(E10,Remuneración!$C$4:$K$12,5,TRUE)</f>
        <v>14400</v>
      </c>
      <c r="H10" s="26">
        <f>HLOOKUP(F10,Remuneración!$C$4:$K$12,5,TRUE)</f>
        <v>25200</v>
      </c>
    </row>
    <row r="11" spans="2:8" ht="25" customHeight="1" x14ac:dyDescent="0.2">
      <c r="B11" s="22" t="s">
        <v>11</v>
      </c>
      <c r="C11" s="6">
        <f>VLOOKUP($B$5,Info!$B$15:$H$21,5,FALSE)</f>
        <v>31850</v>
      </c>
      <c r="D11" s="6">
        <f>VLOOKUP($B$5,Info!$B$24:$H$30,5,FALSE)</f>
        <v>30163</v>
      </c>
      <c r="E11" s="23">
        <f t="shared" si="1"/>
        <v>0.94703296703296702</v>
      </c>
      <c r="F11" s="23">
        <f>IFERROR((D11/$H$3*$D$3)/C11,"")</f>
        <v>1.1574847374847375</v>
      </c>
      <c r="G11" s="26">
        <f>HLOOKUP(E11,Remuneración!$C$4:$K$12,6,TRUE)</f>
        <v>13500</v>
      </c>
      <c r="H11" s="26">
        <f>HLOOKUP(F11,Remuneración!$C$4:$K$12,6,TRUE)</f>
        <v>21600</v>
      </c>
    </row>
    <row r="12" spans="2:8" ht="25" customHeight="1" x14ac:dyDescent="0.2">
      <c r="B12" s="22" t="s">
        <v>12</v>
      </c>
      <c r="C12" s="6">
        <f>VLOOKUP($B$5,Info!$B$15:$H$21,6,FALSE)</f>
        <v>5787</v>
      </c>
      <c r="D12" s="6">
        <f>VLOOKUP($B$5,Info!$B$24:$H$30,6,FALSE)</f>
        <v>5287</v>
      </c>
      <c r="E12" s="23">
        <f t="shared" si="1"/>
        <v>0.91359944703646101</v>
      </c>
      <c r="F12" s="23">
        <f t="shared" si="0"/>
        <v>1.1166215463778968</v>
      </c>
      <c r="G12" s="26">
        <f>HLOOKUP(E12,Remuneración!$C$4:$K$12,7,TRUE)</f>
        <v>13500</v>
      </c>
      <c r="H12" s="26">
        <f>HLOOKUP(F12,Remuneración!$C$4:$K$12,7,TRUE)</f>
        <v>20700</v>
      </c>
    </row>
    <row r="13" spans="2:8" ht="25" customHeight="1" x14ac:dyDescent="0.2">
      <c r="B13" s="22" t="s">
        <v>13</v>
      </c>
      <c r="C13" s="6">
        <f>VLOOKUP($B$5,Info!$B$15:$H$21,7,FALSE)</f>
        <v>3445</v>
      </c>
      <c r="D13" s="6">
        <f>VLOOKUP($B$5,Info!$B$24:$H$30,7,FALSE)</f>
        <v>2997</v>
      </c>
      <c r="E13" s="23">
        <f t="shared" si="1"/>
        <v>0.86995645863570392</v>
      </c>
      <c r="F13" s="23">
        <f t="shared" si="0"/>
        <v>1.0632801161103047</v>
      </c>
      <c r="G13" s="26">
        <f>HLOOKUP(E13,Remuneración!$C$4:$K$12,8,TRUE)</f>
        <v>7200</v>
      </c>
      <c r="H13" s="26">
        <f>HLOOKUP(F13,Remuneración!$C$4:$K$12,8,TRUE)</f>
        <v>12600</v>
      </c>
    </row>
    <row r="16" spans="2:8" x14ac:dyDescent="0.2">
      <c r="B16" s="22" t="s">
        <v>17</v>
      </c>
    </row>
    <row r="18" spans="2:8" ht="35" customHeight="1" x14ac:dyDescent="0.2">
      <c r="B18" s="21" t="s">
        <v>27</v>
      </c>
      <c r="C18" s="21" t="s">
        <v>28</v>
      </c>
      <c r="D18" s="21" t="s">
        <v>29</v>
      </c>
      <c r="E18" s="21" t="s">
        <v>30</v>
      </c>
      <c r="F18" s="21" t="s">
        <v>31</v>
      </c>
      <c r="G18" s="21" t="s">
        <v>32</v>
      </c>
      <c r="H18" s="21" t="s">
        <v>33</v>
      </c>
    </row>
    <row r="19" spans="2:8" ht="25" customHeight="1" x14ac:dyDescent="0.2">
      <c r="B19" s="22" t="s">
        <v>8</v>
      </c>
      <c r="C19" s="6">
        <f>VLOOKUP($B$16,Info!$B$15:$H$21,2,FALSE)</f>
        <v>10952</v>
      </c>
      <c r="D19" s="6">
        <f>VLOOKUP($B$16,Info!$B$24:$H$30,2,FALSE)</f>
        <v>9309</v>
      </c>
      <c r="E19" s="23">
        <f>IFERROR(D19/C19,"")</f>
        <v>0.84998173849525205</v>
      </c>
      <c r="F19" s="23">
        <f>IFERROR((D19/$H$3*$D$3)/C19,"")</f>
        <v>1.0388665692719745</v>
      </c>
      <c r="G19" s="26">
        <f>HLOOKUP(E19,Remuneración!$C$4:$K$12,3,TRUE)</f>
        <v>14400</v>
      </c>
      <c r="H19" s="26">
        <f>HLOOKUP(F19,Remuneración!$C$4:$K$12,3,TRUE)</f>
        <v>24000</v>
      </c>
    </row>
    <row r="20" spans="2:8" ht="25" customHeight="1" x14ac:dyDescent="0.2">
      <c r="B20" s="22" t="s">
        <v>9</v>
      </c>
      <c r="C20" s="6">
        <f>VLOOKUP($B$16,Info!$B$15:$H$21,3,FALSE)</f>
        <v>14312</v>
      </c>
      <c r="D20" s="6">
        <f>VLOOKUP($B$16,Info!$B$24:$H$30,3,FALSE)</f>
        <v>10591</v>
      </c>
      <c r="E20" s="23">
        <f>IFERROR(D20/C20,"")</f>
        <v>0.74000838457238682</v>
      </c>
      <c r="F20" s="23">
        <f t="shared" ref="F20:F24" si="2">IFERROR((D20/$H$3*$D$3)/C20,"")</f>
        <v>0.90445469225513953</v>
      </c>
      <c r="G20" s="26">
        <f>HLOOKUP(E20,Remuneración!$C$4:$K$12,4,TRUE)</f>
        <v>0</v>
      </c>
      <c r="H20" s="26">
        <f>HLOOKUP(F20,Remuneración!$C$4:$K$12,4,TRUE)</f>
        <v>18000</v>
      </c>
    </row>
    <row r="21" spans="2:8" ht="25" customHeight="1" x14ac:dyDescent="0.2">
      <c r="B21" s="22" t="s">
        <v>10</v>
      </c>
      <c r="C21" s="6">
        <f>VLOOKUP($B$16,Info!$B$15:$H$21,4,FALSE)</f>
        <v>8048</v>
      </c>
      <c r="D21" s="6">
        <f>VLOOKUP($B$16,Info!$B$24:$H$30,4,FALSE)</f>
        <v>7807</v>
      </c>
      <c r="E21" s="23">
        <f t="shared" ref="E21:E24" si="3">IFERROR(D21/C21,"")</f>
        <v>0.97005467196819084</v>
      </c>
      <c r="F21" s="23">
        <f>IFERROR((D21/$H$3*$D$3)/C21,"")</f>
        <v>1.1856223768500109</v>
      </c>
      <c r="G21" s="26">
        <f>HLOOKUP(E21,Remuneración!$C$4:$K$12,5,TRUE)</f>
        <v>21600</v>
      </c>
      <c r="H21" s="26">
        <f>HLOOKUP(F21,Remuneración!$C$4:$K$12,5,TRUE)</f>
        <v>28800</v>
      </c>
    </row>
    <row r="22" spans="2:8" ht="25" customHeight="1" x14ac:dyDescent="0.2">
      <c r="B22" s="22" t="s">
        <v>11</v>
      </c>
      <c r="C22" s="6">
        <f>VLOOKUP($B$16,Info!$B$15:$H$21,5,FALSE)</f>
        <v>5077</v>
      </c>
      <c r="D22" s="6">
        <f>VLOOKUP($B$16,Info!$B$24:$H$30,5,FALSE)</f>
        <v>4468</v>
      </c>
      <c r="E22" s="23">
        <f t="shared" si="3"/>
        <v>0.88004727201103017</v>
      </c>
      <c r="F22" s="23">
        <f>IFERROR((D22/$H$3*$D$3)/C22,"")</f>
        <v>1.0756133324579258</v>
      </c>
      <c r="G22" s="26">
        <f>HLOOKUP(E22,Remuneración!$C$4:$K$12,6,TRUE)</f>
        <v>10800</v>
      </c>
      <c r="H22" s="26">
        <f>HLOOKUP(F22,Remuneración!$C$4:$K$12,6,TRUE)</f>
        <v>18900</v>
      </c>
    </row>
    <row r="23" spans="2:8" ht="25" customHeight="1" x14ac:dyDescent="0.2">
      <c r="B23" s="22" t="s">
        <v>12</v>
      </c>
      <c r="C23" s="6">
        <f>VLOOKUP($B$16,Info!$B$15:$H$21,6,FALSE)</f>
        <v>1417</v>
      </c>
      <c r="D23" s="6">
        <f>VLOOKUP($B$16,Info!$B$24:$H$30,6,FALSE)</f>
        <v>1403</v>
      </c>
      <c r="E23" s="23">
        <f t="shared" si="3"/>
        <v>0.99011997177134792</v>
      </c>
      <c r="F23" s="23">
        <f t="shared" ref="F23:F24" si="4">IFERROR((D23/$H$3*$D$3)/C23,"")</f>
        <v>1.2101466321649808</v>
      </c>
      <c r="G23" s="26">
        <f>HLOOKUP(E23,Remuneración!$C$4:$K$12,7,TRUE)</f>
        <v>16200</v>
      </c>
      <c r="H23" s="26">
        <f>HLOOKUP(F23,Remuneración!$C$4:$K$12,7,TRUE)</f>
        <v>21600</v>
      </c>
    </row>
    <row r="24" spans="2:8" ht="25" customHeight="1" x14ac:dyDescent="0.2">
      <c r="B24" s="22" t="s">
        <v>13</v>
      </c>
      <c r="C24" s="6">
        <f>VLOOKUP($B$16,Info!$B$15:$H$21,7,FALSE)</f>
        <v>874</v>
      </c>
      <c r="D24" s="6">
        <f>VLOOKUP($B$16,Info!$B$24:$H$30,7,FALSE)</f>
        <v>787</v>
      </c>
      <c r="E24" s="23">
        <f t="shared" si="3"/>
        <v>0.9004576659038902</v>
      </c>
      <c r="F24" s="23">
        <f t="shared" si="4"/>
        <v>1.100559369438088</v>
      </c>
      <c r="G24" s="26">
        <f>HLOOKUP(E24,Remuneración!$C$4:$K$12,8,TRUE)</f>
        <v>9000</v>
      </c>
      <c r="H24" s="26">
        <f>HLOOKUP(F24,Remuneración!$C$4:$K$12,8,TRUE)</f>
        <v>13800</v>
      </c>
    </row>
    <row r="27" spans="2:8" x14ac:dyDescent="0.2">
      <c r="B27" s="22" t="s">
        <v>18</v>
      </c>
    </row>
    <row r="29" spans="2:8" ht="35" customHeight="1" x14ac:dyDescent="0.2">
      <c r="B29" s="21" t="s">
        <v>27</v>
      </c>
      <c r="C29" s="21" t="s">
        <v>28</v>
      </c>
      <c r="D29" s="21" t="s">
        <v>29</v>
      </c>
      <c r="E29" s="21" t="s">
        <v>30</v>
      </c>
      <c r="F29" s="21" t="s">
        <v>31</v>
      </c>
      <c r="G29" s="21" t="s">
        <v>32</v>
      </c>
      <c r="H29" s="21" t="s">
        <v>33</v>
      </c>
    </row>
    <row r="30" spans="2:8" ht="25" customHeight="1" x14ac:dyDescent="0.2">
      <c r="B30" s="22" t="s">
        <v>8</v>
      </c>
      <c r="C30" s="6">
        <f>VLOOKUP($B$27,Info!$B$15:$H$21,2,FALSE)</f>
        <v>9582</v>
      </c>
      <c r="D30" s="6">
        <f>VLOOKUP($B$27,Info!$B$24:$H$30,2,FALSE)</f>
        <v>8432</v>
      </c>
      <c r="E30" s="23">
        <f>IFERROR(D30/C30,"")</f>
        <v>0.87998330202462949</v>
      </c>
      <c r="F30" s="23">
        <f>IFERROR((D30/$H$3*$D$3)/C30,"")</f>
        <v>1.0755351469189915</v>
      </c>
      <c r="G30" s="26">
        <f>HLOOKUP(E30,Remuneración!$C$4:$K$12,3,TRUE)</f>
        <v>14400</v>
      </c>
      <c r="H30" s="26">
        <f>HLOOKUP(F30,Remuneración!$C$4:$K$12,3,TRUE)</f>
        <v>25200</v>
      </c>
    </row>
    <row r="31" spans="2:8" ht="25" customHeight="1" x14ac:dyDescent="0.2">
      <c r="B31" s="22" t="s">
        <v>9</v>
      </c>
      <c r="C31" s="6">
        <f>VLOOKUP($B$27,Info!$B$15:$H$21,3,FALSE)</f>
        <v>11870</v>
      </c>
      <c r="D31" s="6">
        <f>VLOOKUP($B$27,Info!$B$24:$H$30,3,FALSE)</f>
        <v>7484</v>
      </c>
      <c r="E31" s="23">
        <f>IFERROR(D31/C31,"")</f>
        <v>0.63049705139005896</v>
      </c>
      <c r="F31" s="23">
        <f t="shared" ref="F31:F35" si="5">IFERROR((D31/$H$3*$D$3)/C31,"")</f>
        <v>0.77060750725451654</v>
      </c>
      <c r="G31" s="26">
        <f>HLOOKUP(E31,Remuneración!$C$4:$K$12,4,TRUE)</f>
        <v>0</v>
      </c>
      <c r="H31" s="26">
        <f>HLOOKUP(F31,Remuneración!$C$4:$K$12,4,TRUE)</f>
        <v>0</v>
      </c>
    </row>
    <row r="32" spans="2:8" ht="25" customHeight="1" x14ac:dyDescent="0.2">
      <c r="B32" s="22" t="s">
        <v>10</v>
      </c>
      <c r="C32" s="6">
        <f>VLOOKUP($B$27,Info!$B$15:$H$21,4,FALSE)</f>
        <v>10034</v>
      </c>
      <c r="D32" s="6">
        <f>VLOOKUP($B$27,Info!$B$24:$H$30,4,FALSE)</f>
        <v>8930</v>
      </c>
      <c r="E32" s="23">
        <f t="shared" ref="E32:E36" si="6">IFERROR(D32/C32,"")</f>
        <v>0.88997408810045842</v>
      </c>
      <c r="F32" s="23">
        <f>IFERROR((D32/$H$3*$D$3)/C32,"")</f>
        <v>1.0877461076783379</v>
      </c>
      <c r="G32" s="26">
        <f>HLOOKUP(E32,Remuneración!$C$4:$K$12,5,TRUE)</f>
        <v>14400</v>
      </c>
      <c r="H32" s="26">
        <f>HLOOKUP(F32,Remuneración!$C$4:$K$12,5,TRUE)</f>
        <v>25200</v>
      </c>
    </row>
    <row r="33" spans="2:8" ht="25" customHeight="1" x14ac:dyDescent="0.2">
      <c r="B33" s="22" t="s">
        <v>11</v>
      </c>
      <c r="C33" s="6">
        <f>VLOOKUP($B$27,Info!$B$15:$H$21,5,FALSE)</f>
        <v>7822</v>
      </c>
      <c r="D33" s="6">
        <f>VLOOKUP($B$27,Info!$B$24:$H$30,5,FALSE)</f>
        <v>7196</v>
      </c>
      <c r="E33" s="23">
        <f t="shared" si="6"/>
        <v>0.91996931731015086</v>
      </c>
      <c r="F33" s="23">
        <f>IFERROR((D33/$H$3*$D$3)/C33,"")</f>
        <v>1.1244069433790733</v>
      </c>
      <c r="G33" s="26">
        <f>HLOOKUP(E33,Remuneración!$C$4:$K$12,6,TRUE)</f>
        <v>13500</v>
      </c>
      <c r="H33" s="26">
        <f>HLOOKUP(F33,Remuneración!$C$4:$K$12,6,TRUE)</f>
        <v>20700</v>
      </c>
    </row>
    <row r="34" spans="2:8" ht="25" customHeight="1" x14ac:dyDescent="0.2">
      <c r="B34" s="22" t="s">
        <v>12</v>
      </c>
      <c r="C34" s="6">
        <f>VLOOKUP($B$27,Info!$B$15:$H$21,6,FALSE)</f>
        <v>932</v>
      </c>
      <c r="D34" s="6">
        <f>VLOOKUP($B$27,Info!$B$24:$H$30,6,FALSE)</f>
        <v>736</v>
      </c>
      <c r="E34" s="23">
        <f t="shared" si="6"/>
        <v>0.78969957081545061</v>
      </c>
      <c r="F34" s="23">
        <f t="shared" ref="F34:F38" si="7">IFERROR((D34/$H$3*$D$3)/C34,"")</f>
        <v>0.96518836432999511</v>
      </c>
      <c r="G34" s="26">
        <f>HLOOKUP(E34,Remuneración!$C$4:$K$12,7,TRUE)</f>
        <v>0</v>
      </c>
      <c r="H34" s="26">
        <f>HLOOKUP(F34,Remuneración!$C$4:$K$12,7,TRUE)</f>
        <v>16200</v>
      </c>
    </row>
    <row r="35" spans="2:8" ht="25" customHeight="1" x14ac:dyDescent="0.2">
      <c r="B35" s="22" t="s">
        <v>13</v>
      </c>
      <c r="C35" s="6">
        <f>VLOOKUP($B$27,Info!$B$15:$H$21,7,FALSE)</f>
        <v>729</v>
      </c>
      <c r="D35" s="6">
        <f>VLOOKUP($B$27,Info!$B$24:$H$30,7,FALSE)</f>
        <v>590</v>
      </c>
      <c r="E35" s="23">
        <f t="shared" si="6"/>
        <v>0.80932784636488342</v>
      </c>
      <c r="F35" s="23">
        <f t="shared" si="7"/>
        <v>0.98917847889041299</v>
      </c>
      <c r="G35" s="26">
        <f>HLOOKUP(E35,Remuneración!$C$4:$K$12,8,TRUE)</f>
        <v>7200</v>
      </c>
      <c r="H35" s="26">
        <f>HLOOKUP(F35,Remuneración!$C$4:$K$12,8,TRUE)</f>
        <v>10800</v>
      </c>
    </row>
    <row r="38" spans="2:8" x14ac:dyDescent="0.2">
      <c r="B38" s="22" t="s">
        <v>19</v>
      </c>
    </row>
    <row r="40" spans="2:8" ht="35" customHeight="1" x14ac:dyDescent="0.2">
      <c r="B40" s="21" t="s">
        <v>27</v>
      </c>
      <c r="C40" s="21" t="s">
        <v>28</v>
      </c>
      <c r="D40" s="21" t="s">
        <v>29</v>
      </c>
      <c r="E40" s="21" t="s">
        <v>30</v>
      </c>
      <c r="F40" s="21" t="s">
        <v>31</v>
      </c>
      <c r="G40" s="21" t="s">
        <v>32</v>
      </c>
      <c r="H40" s="21" t="s">
        <v>33</v>
      </c>
    </row>
    <row r="41" spans="2:8" ht="25" customHeight="1" x14ac:dyDescent="0.2">
      <c r="B41" s="22" t="s">
        <v>8</v>
      </c>
      <c r="C41" s="6">
        <f>VLOOKUP($B$38,Info!$B$15:$H$21,2,FALSE)</f>
        <v>12523</v>
      </c>
      <c r="D41" s="6">
        <f>VLOOKUP($B$38,Info!$B$24:$H$30,2,FALSE)</f>
        <v>11271</v>
      </c>
      <c r="E41" s="23">
        <f>IFERROR(D41/C41,"")</f>
        <v>0.90002395592110518</v>
      </c>
      <c r="F41" s="23">
        <f>IFERROR((D41/$H$3*$D$3)/C41,"")</f>
        <v>1.1000292794591284</v>
      </c>
      <c r="G41" s="26">
        <f>HLOOKUP(E41,Remuneración!$C$4:$K$12,3,TRUE)</f>
        <v>18000</v>
      </c>
      <c r="H41" s="26">
        <f>HLOOKUP(F41,Remuneración!$C$4:$K$12,3,TRUE)</f>
        <v>27600</v>
      </c>
    </row>
    <row r="42" spans="2:8" ht="25" customHeight="1" x14ac:dyDescent="0.2">
      <c r="B42" s="22" t="s">
        <v>9</v>
      </c>
      <c r="C42" s="6">
        <f>VLOOKUP($B$38,Info!$B$15:$H$21,3,FALSE)</f>
        <v>9897</v>
      </c>
      <c r="D42" s="6">
        <f>VLOOKUP($B$38,Info!$B$24:$H$30,3,FALSE)</f>
        <v>7324</v>
      </c>
      <c r="E42" s="23">
        <f>IFERROR(D42/C42,"")</f>
        <v>0.74002222895827019</v>
      </c>
      <c r="F42" s="23">
        <f t="shared" ref="F42:F46" si="8">IFERROR((D42/$H$3*$D$3)/C42,"")</f>
        <v>0.90447161317121927</v>
      </c>
      <c r="G42" s="26">
        <f>HLOOKUP(E42,Remuneración!$C$4:$K$12,4,TRUE)</f>
        <v>0</v>
      </c>
      <c r="H42" s="26">
        <f>HLOOKUP(F42,Remuneración!$C$4:$K$12,4,TRUE)</f>
        <v>18000</v>
      </c>
    </row>
    <row r="43" spans="2:8" ht="25" customHeight="1" x14ac:dyDescent="0.2">
      <c r="B43" s="22" t="s">
        <v>10</v>
      </c>
      <c r="C43" s="6">
        <f>VLOOKUP($B$38,Info!$B$15:$H$21,4,FALSE)</f>
        <v>10046</v>
      </c>
      <c r="D43" s="6">
        <f>VLOOKUP($B$38,Info!$B$24:$H$30,4,FALSE)</f>
        <v>7535</v>
      </c>
      <c r="E43" s="23">
        <f t="shared" ref="E43:E46" si="9">IFERROR(D43/C43,"")</f>
        <v>0.75004977105315551</v>
      </c>
      <c r="F43" s="23">
        <f>IFERROR((D43/$H$3*$D$3)/C43,"")</f>
        <v>0.91672749795385655</v>
      </c>
      <c r="G43" s="26">
        <f>HLOOKUP(E43,Remuneración!$C$4:$K$12,5,TRUE)</f>
        <v>0</v>
      </c>
      <c r="H43" s="26">
        <f>HLOOKUP(F43,Remuneración!$C$4:$K$12,5,TRUE)</f>
        <v>18000</v>
      </c>
    </row>
    <row r="44" spans="2:8" ht="25" customHeight="1" x14ac:dyDescent="0.2">
      <c r="B44" s="22" t="s">
        <v>11</v>
      </c>
      <c r="C44" s="6">
        <f>VLOOKUP($B$38,Info!$B$15:$H$21,5,FALSE)</f>
        <v>6427</v>
      </c>
      <c r="D44" s="6">
        <f>VLOOKUP($B$38,Info!$B$24:$H$30,5,FALSE)</f>
        <v>5977</v>
      </c>
      <c r="E44" s="23">
        <f t="shared" si="9"/>
        <v>0.92998288470515011</v>
      </c>
      <c r="F44" s="23">
        <f>IFERROR((D44/$H$3*$D$3)/C44,"")</f>
        <v>1.1366457479729613</v>
      </c>
      <c r="G44" s="26">
        <f>HLOOKUP(E44,Remuneración!$C$4:$K$12,6,TRUE)</f>
        <v>13500</v>
      </c>
      <c r="H44" s="26">
        <f>HLOOKUP(F44,Remuneración!$C$4:$K$12,6,TRUE)</f>
        <v>20700</v>
      </c>
    </row>
    <row r="45" spans="2:8" ht="25" customHeight="1" x14ac:dyDescent="0.2">
      <c r="B45" s="22" t="s">
        <v>12</v>
      </c>
      <c r="C45" s="6">
        <f>VLOOKUP($B$38,Info!$B$15:$H$21,6,FALSE)</f>
        <v>993</v>
      </c>
      <c r="D45" s="6">
        <f>VLOOKUP($B$38,Info!$B$24:$H$30,6,FALSE)</f>
        <v>814</v>
      </c>
      <c r="E45" s="23">
        <f t="shared" si="9"/>
        <v>0.81973816717019132</v>
      </c>
      <c r="F45" s="23">
        <f t="shared" ref="F45:F46" si="10">IFERROR((D45/$H$3*$D$3)/C45,"")</f>
        <v>1.0019022043191228</v>
      </c>
      <c r="G45" s="26">
        <f>HLOOKUP(E45,Remuneración!$C$4:$K$12,7,TRUE)</f>
        <v>10800</v>
      </c>
      <c r="H45" s="26">
        <f>HLOOKUP(F45,Remuneración!$C$4:$K$12,7,TRUE)</f>
        <v>18000</v>
      </c>
    </row>
    <row r="46" spans="2:8" ht="25" customHeight="1" x14ac:dyDescent="0.2">
      <c r="B46" s="22" t="s">
        <v>13</v>
      </c>
      <c r="C46" s="6">
        <f>VLOOKUP($B$38,Info!$B$15:$H$21,7,FALSE)</f>
        <v>743</v>
      </c>
      <c r="D46" s="6">
        <f>VLOOKUP($B$38,Info!$B$24:$H$30,7,FALSE)</f>
        <v>632</v>
      </c>
      <c r="E46" s="23">
        <f t="shared" si="9"/>
        <v>0.85060565275908484</v>
      </c>
      <c r="F46" s="23">
        <f t="shared" si="10"/>
        <v>1.0396291311499928</v>
      </c>
      <c r="G46" s="26">
        <f>HLOOKUP(E46,Remuneración!$C$4:$K$12,8,TRUE)</f>
        <v>7200</v>
      </c>
      <c r="H46" s="26">
        <f>HLOOKUP(F46,Remuneración!$C$4:$K$12,8,TRUE)</f>
        <v>12000</v>
      </c>
    </row>
    <row r="49" spans="2:8" x14ac:dyDescent="0.2">
      <c r="B49" s="22" t="s">
        <v>20</v>
      </c>
    </row>
    <row r="51" spans="2:8" ht="35" customHeight="1" x14ac:dyDescent="0.2">
      <c r="B51" s="21" t="s">
        <v>27</v>
      </c>
      <c r="C51" s="21" t="s">
        <v>28</v>
      </c>
      <c r="D51" s="21" t="s">
        <v>29</v>
      </c>
      <c r="E51" s="21" t="s">
        <v>30</v>
      </c>
      <c r="F51" s="21" t="s">
        <v>31</v>
      </c>
      <c r="G51" s="21" t="s">
        <v>32</v>
      </c>
      <c r="H51" s="21" t="s">
        <v>33</v>
      </c>
    </row>
    <row r="52" spans="2:8" ht="25" customHeight="1" x14ac:dyDescent="0.2">
      <c r="B52" s="22" t="s">
        <v>8</v>
      </c>
      <c r="C52" s="6">
        <f>VLOOKUP($B$49,Info!$B$15:$H$21,2,FALSE)</f>
        <v>11652</v>
      </c>
      <c r="D52" s="6">
        <f>VLOOKUP($B$49,Info!$B$24:$H$30,2,FALSE)</f>
        <v>10720</v>
      </c>
      <c r="E52" s="23">
        <f>IFERROR(D52/C52,"")</f>
        <v>0.92001373154823207</v>
      </c>
      <c r="F52" s="23">
        <f>IFERROR((D52/$H$3*$D$3)/C52,"")</f>
        <v>1.1244612274478392</v>
      </c>
      <c r="G52" s="26">
        <f>HLOOKUP(E52,Remuneración!$C$4:$K$12,3,TRUE)</f>
        <v>18000</v>
      </c>
      <c r="H52" s="26">
        <f>HLOOKUP(F52,Remuneración!$C$4:$K$12,3,TRUE)</f>
        <v>27600</v>
      </c>
    </row>
    <row r="53" spans="2:8" ht="25" customHeight="1" x14ac:dyDescent="0.2">
      <c r="B53" s="22" t="s">
        <v>9</v>
      </c>
      <c r="C53" s="6">
        <f>VLOOKUP($B$49,Info!$B$15:$H$21,3,FALSE)</f>
        <v>14900</v>
      </c>
      <c r="D53" s="6">
        <f>VLOOKUP($B$49,Info!$B$24:$H$30,3,FALSE)</f>
        <v>12367</v>
      </c>
      <c r="E53" s="23">
        <f>IFERROR(D53/C53,"")</f>
        <v>0.83</v>
      </c>
      <c r="F53" s="23">
        <f t="shared" ref="F53:F57" si="11">IFERROR((D53/$H$3*$D$3)/C53,"")</f>
        <v>1.0144444444444445</v>
      </c>
      <c r="G53" s="26">
        <f>HLOOKUP(E53,Remuneración!$C$4:$K$12,4,TRUE)</f>
        <v>14400</v>
      </c>
      <c r="H53" s="26">
        <f>HLOOKUP(F53,Remuneración!$C$4:$K$12,4,TRUE)</f>
        <v>24000</v>
      </c>
    </row>
    <row r="54" spans="2:8" ht="25" customHeight="1" x14ac:dyDescent="0.2">
      <c r="B54" s="22" t="s">
        <v>10</v>
      </c>
      <c r="C54" s="6">
        <f>VLOOKUP($B$49,Info!$B$15:$H$21,4,FALSE)</f>
        <v>8357</v>
      </c>
      <c r="D54" s="6">
        <f>VLOOKUP($B$49,Info!$B$24:$H$30,4,FALSE)</f>
        <v>6853</v>
      </c>
      <c r="E54" s="23">
        <f t="shared" ref="E54:E58" si="12">IFERROR(D54/C54,"")</f>
        <v>0.82003111164293407</v>
      </c>
      <c r="F54" s="23">
        <f>IFERROR((D54/$H$3*$D$3)/C54,"")</f>
        <v>1.002260247563586</v>
      </c>
      <c r="G54" s="26">
        <f>HLOOKUP(E54,Remuneración!$C$4:$K$12,5,TRUE)</f>
        <v>14400</v>
      </c>
      <c r="H54" s="26">
        <f>HLOOKUP(F54,Remuneración!$C$4:$K$12,5,TRUE)</f>
        <v>24000</v>
      </c>
    </row>
    <row r="55" spans="2:8" ht="25" customHeight="1" x14ac:dyDescent="0.2">
      <c r="B55" s="22" t="s">
        <v>11</v>
      </c>
      <c r="C55" s="6">
        <f>VLOOKUP($B$49,Info!$B$15:$H$21,5,FALSE)</f>
        <v>5026</v>
      </c>
      <c r="D55" s="6">
        <f>VLOOKUP($B$49,Info!$B$24:$H$30,5,FALSE)</f>
        <v>4724</v>
      </c>
      <c r="E55" s="23">
        <f t="shared" si="12"/>
        <v>0.93991245523278955</v>
      </c>
      <c r="F55" s="23">
        <f>IFERROR((D55/$H$3*$D$3)/C55,"")</f>
        <v>1.148781889728965</v>
      </c>
      <c r="G55" s="26">
        <f>HLOOKUP(E55,Remuneración!$C$4:$K$12,6,TRUE)</f>
        <v>13500</v>
      </c>
      <c r="H55" s="26">
        <f>HLOOKUP(F55,Remuneración!$C$4:$K$12,6,TRUE)</f>
        <v>20700</v>
      </c>
    </row>
    <row r="56" spans="2:8" ht="25" customHeight="1" x14ac:dyDescent="0.2">
      <c r="B56" s="22" t="s">
        <v>12</v>
      </c>
      <c r="C56" s="6">
        <f>VLOOKUP($B$49,Info!$B$15:$H$21,6,FALSE)</f>
        <v>1419</v>
      </c>
      <c r="D56" s="6">
        <f>VLOOKUP($B$49,Info!$B$24:$H$30,6,FALSE)</f>
        <v>1277</v>
      </c>
      <c r="E56" s="23">
        <f t="shared" si="12"/>
        <v>0.89992952783650459</v>
      </c>
      <c r="F56" s="23">
        <f t="shared" ref="F56:F60" si="13">IFERROR((D56/$H$3*$D$3)/C56,"")</f>
        <v>1.0999138673557278</v>
      </c>
      <c r="G56" s="26">
        <f>HLOOKUP(E56,Remuneración!$C$4:$K$12,7,TRUE)</f>
        <v>10800</v>
      </c>
      <c r="H56" s="26">
        <f>HLOOKUP(F56,Remuneración!$C$4:$K$12,7,TRUE)</f>
        <v>18900</v>
      </c>
    </row>
    <row r="57" spans="2:8" ht="25" customHeight="1" x14ac:dyDescent="0.2">
      <c r="B57" s="22" t="s">
        <v>13</v>
      </c>
      <c r="C57" s="6">
        <f>VLOOKUP($B$49,Info!$B$15:$H$21,7,FALSE)</f>
        <v>596</v>
      </c>
      <c r="D57" s="6">
        <f>VLOOKUP($B$49,Info!$B$24:$H$30,7,FALSE)</f>
        <v>560</v>
      </c>
      <c r="E57" s="23">
        <f t="shared" si="12"/>
        <v>0.93959731543624159</v>
      </c>
      <c r="F57" s="23">
        <f t="shared" si="13"/>
        <v>1.1483967188665176</v>
      </c>
      <c r="G57" s="26">
        <f>HLOOKUP(E57,Remuneración!$C$4:$K$12,8,TRUE)</f>
        <v>9000</v>
      </c>
      <c r="H57" s="26">
        <f>HLOOKUP(F57,Remuneración!$C$4:$K$12,8,TRUE)</f>
        <v>13800</v>
      </c>
    </row>
    <row r="60" spans="2:8" x14ac:dyDescent="0.2">
      <c r="B60" s="22" t="s">
        <v>21</v>
      </c>
    </row>
    <row r="62" spans="2:8" ht="35" customHeight="1" x14ac:dyDescent="0.2">
      <c r="B62" s="21" t="s">
        <v>27</v>
      </c>
      <c r="C62" s="21" t="s">
        <v>28</v>
      </c>
      <c r="D62" s="21" t="s">
        <v>29</v>
      </c>
      <c r="E62" s="21" t="s">
        <v>30</v>
      </c>
      <c r="F62" s="21" t="s">
        <v>31</v>
      </c>
      <c r="G62" s="21" t="s">
        <v>32</v>
      </c>
      <c r="H62" s="21" t="s">
        <v>33</v>
      </c>
    </row>
    <row r="63" spans="2:8" ht="25" customHeight="1" x14ac:dyDescent="0.2">
      <c r="B63" s="22" t="s">
        <v>8</v>
      </c>
      <c r="C63" s="6">
        <f>VLOOKUP($B$60,Info!$B$15:$H$21,2,FALSE)</f>
        <v>10742</v>
      </c>
      <c r="D63" s="6">
        <f>VLOOKUP($B$60,Info!$B$24:$H$30,2,FALSE)</f>
        <v>10742</v>
      </c>
      <c r="E63" s="23">
        <f>IFERROR(D63/C63,"")</f>
        <v>1</v>
      </c>
      <c r="F63" s="23">
        <f>IFERROR((D63/$H$3*$D$3)/C63,"")</f>
        <v>1.2222222222222223</v>
      </c>
      <c r="G63" s="26">
        <f>HLOOKUP(E63,Remuneración!$C$4:$K$12,3,TRUE)</f>
        <v>24000</v>
      </c>
      <c r="H63" s="26">
        <f>HLOOKUP(F63,Remuneración!$C$4:$K$12,3,TRUE)</f>
        <v>28800</v>
      </c>
    </row>
    <row r="64" spans="2:8" ht="25" customHeight="1" x14ac:dyDescent="0.2">
      <c r="B64" s="22" t="s">
        <v>9</v>
      </c>
      <c r="C64" s="6">
        <f>VLOOKUP($B$60,Info!$B$15:$H$21,3,FALSE)</f>
        <v>11223</v>
      </c>
      <c r="D64" s="6">
        <f>VLOOKUP($B$60,Info!$B$24:$H$30,3,FALSE)</f>
        <v>9540</v>
      </c>
      <c r="E64" s="23">
        <f>IFERROR(D64/C64,"")</f>
        <v>0.85004009623095433</v>
      </c>
      <c r="F64" s="23">
        <f t="shared" ref="F64:F68" si="14">IFERROR((D64/$H$3*$D$3)/C64,"")</f>
        <v>1.0389378953933885</v>
      </c>
      <c r="G64" s="26">
        <f>HLOOKUP(E64,Remuneración!$C$4:$K$12,4,TRUE)</f>
        <v>14400</v>
      </c>
      <c r="H64" s="26">
        <f>HLOOKUP(F64,Remuneración!$C$4:$K$12,4,TRUE)</f>
        <v>24000</v>
      </c>
    </row>
    <row r="65" spans="2:8" ht="25" customHeight="1" x14ac:dyDescent="0.2">
      <c r="B65" s="22" t="s">
        <v>10</v>
      </c>
      <c r="C65" s="6">
        <f>VLOOKUP($B$60,Info!$B$15:$H$21,4,FALSE)</f>
        <v>7459</v>
      </c>
      <c r="D65" s="6">
        <f>VLOOKUP($B$60,Info!$B$24:$H$30,4,FALSE)</f>
        <v>7608</v>
      </c>
      <c r="E65" s="23">
        <f t="shared" ref="E65:E68" si="15">IFERROR(D65/C65,"")</f>
        <v>1.0199758680788309</v>
      </c>
      <c r="F65" s="23">
        <f>IFERROR((D65/$H$3*$D$3)/C65,"")</f>
        <v>1.2466371720963492</v>
      </c>
      <c r="G65" s="26">
        <f>HLOOKUP(E65,Remuneración!$C$4:$K$12,5,TRUE)</f>
        <v>24000</v>
      </c>
      <c r="H65" s="26">
        <f>HLOOKUP(F65,Remuneración!$C$4:$K$12,5,TRUE)</f>
        <v>28800</v>
      </c>
    </row>
    <row r="66" spans="2:8" ht="25" customHeight="1" x14ac:dyDescent="0.2">
      <c r="B66" s="22" t="s">
        <v>11</v>
      </c>
      <c r="C66" s="6">
        <f>VLOOKUP($B$60,Info!$B$15:$H$21,5,FALSE)</f>
        <v>7498</v>
      </c>
      <c r="D66" s="6">
        <f>VLOOKUP($B$60,Info!$B$24:$H$30,5,FALSE)</f>
        <v>7798</v>
      </c>
      <c r="E66" s="23">
        <f t="shared" si="15"/>
        <v>1.0400106695118698</v>
      </c>
      <c r="F66" s="23">
        <f>IFERROR((D66/$H$3*$D$3)/C66,"")</f>
        <v>1.2711241516256186</v>
      </c>
      <c r="G66" s="26">
        <f>HLOOKUP(E66,Remuneración!$C$4:$K$12,6,TRUE)</f>
        <v>18000</v>
      </c>
      <c r="H66" s="26">
        <f>HLOOKUP(F66,Remuneración!$C$4:$K$12,6,TRUE)</f>
        <v>21600</v>
      </c>
    </row>
    <row r="67" spans="2:8" ht="25" customHeight="1" x14ac:dyDescent="0.2">
      <c r="B67" s="22" t="s">
        <v>12</v>
      </c>
      <c r="C67" s="6">
        <f>VLOOKUP($B$60,Info!$B$15:$H$21,6,FALSE)</f>
        <v>1026</v>
      </c>
      <c r="D67" s="6">
        <f>VLOOKUP($B$60,Info!$B$24:$H$30,6,FALSE)</f>
        <v>1057</v>
      </c>
      <c r="E67" s="23">
        <f t="shared" si="15"/>
        <v>1.030214424951267</v>
      </c>
      <c r="F67" s="23">
        <f t="shared" ref="F67:F68" si="16">IFERROR((D67/$H$3*$D$3)/C67,"")</f>
        <v>1.2591509638293263</v>
      </c>
      <c r="G67" s="26">
        <f>HLOOKUP(E67,Remuneración!$C$4:$K$12,7,TRUE)</f>
        <v>18000</v>
      </c>
      <c r="H67" s="26">
        <f>HLOOKUP(F67,Remuneración!$C$4:$K$12,7,TRUE)</f>
        <v>21600</v>
      </c>
    </row>
    <row r="68" spans="2:8" ht="25" customHeight="1" x14ac:dyDescent="0.2">
      <c r="B68" s="22" t="s">
        <v>13</v>
      </c>
      <c r="C68" s="6">
        <f>VLOOKUP($B$60,Info!$B$15:$H$21,7,FALSE)</f>
        <v>503</v>
      </c>
      <c r="D68" s="6">
        <f>VLOOKUP($B$60,Info!$B$24:$H$30,7,FALSE)</f>
        <v>428</v>
      </c>
      <c r="E68" s="23">
        <f t="shared" si="15"/>
        <v>0.85089463220675943</v>
      </c>
      <c r="F68" s="23">
        <f t="shared" si="16"/>
        <v>1.0399823282527059</v>
      </c>
      <c r="G68" s="26">
        <f>HLOOKUP(E68,Remuneración!$C$4:$K$12,8,TRUE)</f>
        <v>7200</v>
      </c>
      <c r="H68" s="26">
        <f>HLOOKUP(F68,Remuneración!$C$4:$K$12,8,TRUE)</f>
        <v>12000</v>
      </c>
    </row>
  </sheetData>
  <conditionalFormatting sqref="F8:F13 F19:F24 F30:F35 F41:F46 F52:F57 F63:F68">
    <cfRule type="iconSet" priority="1">
      <iconSet iconSet="3Arrows">
        <cfvo type="percent" val="0"/>
        <cfvo type="num" val="0.8"/>
        <cfvo type="num" val="1"/>
      </iconSet>
    </cfRule>
  </conditionalFormatting>
  <dataValidations count="1">
    <dataValidation type="list" allowBlank="1" showInputMessage="1" showErrorMessage="1" sqref="B60 B16 B27 B38 B49" xr:uid="{1D99EA45-7646-C54B-9EE3-1D0E6C0D2C75}">
      <formula1>NomVend</formula1>
    </dataValidation>
  </dataValidations>
  <printOptions horizontalCentered="1" verticalCentered="1"/>
  <pageMargins left="0.25" right="0.25" top="0.25" bottom="0.25" header="0" footer="0"/>
  <pageSetup paperSize="9" fitToHeight="0" orientation="landscape" horizontalDpi="0" verticalDpi="0"/>
  <rowBreaks count="2" manualBreakCount="2">
    <brk id="26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</vt:lpstr>
      <vt:lpstr>Info</vt:lpstr>
      <vt:lpstr>Remuneración</vt:lpstr>
      <vt:lpstr>Alcance</vt:lpstr>
      <vt:lpstr>NomVend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Sanchez</dc:creator>
  <cp:lastModifiedBy>Cristian Sanchez</cp:lastModifiedBy>
  <dcterms:created xsi:type="dcterms:W3CDTF">2022-07-19T22:19:23Z</dcterms:created>
  <dcterms:modified xsi:type="dcterms:W3CDTF">2023-11-10T12:20:09Z</dcterms:modified>
</cp:coreProperties>
</file>